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63" activeTab="0"/>
  </bookViews>
  <sheets>
    <sheet name="Foaie1" sheetId="1" r:id="rId1"/>
  </sheets>
  <definedNames>
    <definedName name="_xlnm.Print_Titles" localSheetId="0">'Foaie1'!$6:$6</definedName>
    <definedName name="_xlnm.Print_Area" localSheetId="0">'Foaie1'!$A$1:$S$55</definedName>
  </definedNames>
  <calcPr fullCalcOnLoad="1"/>
</workbook>
</file>

<file path=xl/sharedStrings.xml><?xml version="1.0" encoding="utf-8"?>
<sst xmlns="http://schemas.openxmlformats.org/spreadsheetml/2006/main" count="60" uniqueCount="60">
  <si>
    <t>NUME FURNIZOR</t>
  </si>
  <si>
    <t>CABINET PHYSIODINAMIC FIZIOTERAPIE SI RECUPERARE MEDICALA</t>
  </si>
  <si>
    <t>S.C.T.B. BUZIAS S.A.</t>
  </si>
  <si>
    <t>CABINET MEDICAL DR.TOTH MARINELA -RECUP MEDICALA</t>
  </si>
  <si>
    <t>CAB.FIZIOTERAPIE SI RECUPERARE ELMAR</t>
  </si>
  <si>
    <t>NR.
FURNIZOR</t>
  </si>
  <si>
    <t>TOTAL RECUPERARE</t>
  </si>
  <si>
    <t>PUNCTE APARATURA FURNIZOR</t>
  </si>
  <si>
    <t>PUNCTE SALA KINETO FURNIZOR</t>
  </si>
  <si>
    <t>TOTAL PUNCTE FURNIZOR</t>
  </si>
  <si>
    <t>RAPORT b/a</t>
  </si>
  <si>
    <t>PUNCTE BAZIN HIDROKINETO FURNIZOR</t>
  </si>
  <si>
    <t>SC FIZIOKINETIC MED SRL</t>
  </si>
  <si>
    <t>TOTAL PUNCTE APARATE+ SALA KINETO+BAZIN HIDRO</t>
  </si>
  <si>
    <t>CENTRUL DE SANATATE SOPHIA</t>
  </si>
  <si>
    <t>SC DARLIFE MEDICAL SRL</t>
  </si>
  <si>
    <t>SC EXPLOMED SRL</t>
  </si>
  <si>
    <t>PUNCTE PERSONAL FURNIZOR</t>
  </si>
  <si>
    <t>SOCIETATE DE TRATAMENT BALNEAR SI RECUPERATE A CAPACITATII DE MUNCA ''TBRCM SA BUCURESTI SUCURSALA BUZIAS</t>
  </si>
  <si>
    <t>SC CENTRUL DE KINETOTERAPIE SI MASAJ BANAT SRL</t>
  </si>
  <si>
    <t>SPITALUL CLINIC DE URGENTA PENTRU COPII LOUIS TURCANU TIMISOARA</t>
  </si>
  <si>
    <t>SC SOCRATES MEDICAL CENTER SRL</t>
  </si>
  <si>
    <t>SC FIZIOTERAPIE -ANTO MEDICALIS SRL</t>
  </si>
  <si>
    <t>SC M-PROFILAXIS SRL</t>
  </si>
  <si>
    <t>SPITALUL "DR KARL DIEL" JIMBOLIA</t>
  </si>
  <si>
    <t>SC INTERACTMED SRL</t>
  </si>
  <si>
    <t>SC ARTROKINETICA SRL</t>
  </si>
  <si>
    <t xml:space="preserve"> SPITALUL CLINIC MUNICIPAL DE URGENTA TIMISOARA</t>
  </si>
  <si>
    <t>SC POLICLINICA SANITAS</t>
  </si>
  <si>
    <t>PUNCTE APARATE (B/A*A1)</t>
  </si>
  <si>
    <t>TOTAL PROCEDURI /PERS MEDIU SANITAR/ORA (b)</t>
  </si>
  <si>
    <t>SC FIZIOTERA CONCEPT SRL (SC CABINET MEDICAL DE FIZIOTERAPIE DR BURCHICI ADINA SRL)</t>
  </si>
  <si>
    <t>SC FIZIO KINETIC TM SRL</t>
  </si>
  <si>
    <t>SC ADHD  FIZIO SRL</t>
  </si>
  <si>
    <t>AC ARVA FIZIO SRL</t>
  </si>
  <si>
    <t>SC CENTRUL MEDICAL ORTHOPEDICS SRL</t>
  </si>
  <si>
    <t>TOTAL PROCEDURI/APARATE/ORA (a)</t>
  </si>
  <si>
    <t>SC AVS BALNEO THETAPY SRL</t>
  </si>
  <si>
    <t xml:space="preserve">TOTAL VAL APARATE 40% RECUP </t>
  </si>
  <si>
    <t xml:space="preserve">TOTAL VAL PERSONAL 60% RECUP </t>
  </si>
  <si>
    <t xml:space="preserve">VALOARE APARATE 40% </t>
  </si>
  <si>
    <t xml:space="preserve">VALOARE PERSONAL 60% </t>
  </si>
  <si>
    <t>ACUPUNCTURA PROCENT DIN RECUPERARE</t>
  </si>
  <si>
    <t>10,3%</t>
  </si>
  <si>
    <t>REPARTIZATA CONFORM PUNCTAJELOR PENTRU FURNIZORII DE SERVICII MEDICALE DE MEDICINA FIZICA SI DE REABILITARE</t>
  </si>
  <si>
    <t>BUGET ALOCAT AN  2023</t>
  </si>
  <si>
    <t>TOTAL BUGET ALOCAT RECUPERARE SI ACUPUNCTURA IANUARIE-MARTIE 2023</t>
  </si>
  <si>
    <t>TOTAL BUGET ALOCAT RECUPERARE SI ACUPUNCTURA APRILIE-IUNIE 2023</t>
  </si>
  <si>
    <t>VALOARE ALOCATA ACUPUNCTURA  APRILIE-IUNIE 2023</t>
  </si>
  <si>
    <t xml:space="preserve">VALOARE ALOCATA RECUPERARE FARA ACUPUNCTURA APRILIE-IUNIE 2023 </t>
  </si>
  <si>
    <t>TOTAL VAL ALOCATA RECUPERARE SI ACUPUNCTURA APRILIE-IUNIE 2023</t>
  </si>
  <si>
    <t>VAL PCT APARAT APR-IUN  2023</t>
  </si>
  <si>
    <t>VAL PCT PERSONAL APR-IUN 2023</t>
  </si>
  <si>
    <t>TOTAL VALOARE PERIOADA APR-IUNIE 2023</t>
  </si>
  <si>
    <t xml:space="preserve">TOTAL VALOARE PERIOADA APR-IUNIE 2023 </t>
  </si>
  <si>
    <t>VALOARE LUNA MAI 2023</t>
  </si>
  <si>
    <t>SITUATIA  SUMELOR AFERENTE LUNILOR APRILIE, MAI SI IUNIE 2023</t>
  </si>
  <si>
    <t>TOTAL VAL ALOCATA RECUPERARE APRILIE-IUNIE 2023</t>
  </si>
  <si>
    <t>VALOARE LUNA IUNIE 2023</t>
  </si>
  <si>
    <t>VALOARE LUNA APRILIE 2023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</si>
</sst>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Border="1" applyAlignment="1" quotePrefix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.00390625" style="15" customWidth="1"/>
    <col min="2" max="2" width="38.28125" style="22" customWidth="1"/>
    <col min="3" max="3" width="14.421875" style="6" customWidth="1"/>
    <col min="4" max="4" width="11.140625" style="6" customWidth="1"/>
    <col min="5" max="5" width="10.421875" style="6" customWidth="1"/>
    <col min="6" max="6" width="7.57421875" style="6" customWidth="1"/>
    <col min="7" max="7" width="10.57421875" style="6" customWidth="1"/>
    <col min="8" max="8" width="9.8515625" style="6" customWidth="1"/>
    <col min="9" max="9" width="9.57421875" style="6" customWidth="1"/>
    <col min="10" max="11" width="10.8515625" style="6" customWidth="1"/>
    <col min="12" max="12" width="11.140625" style="6" customWidth="1"/>
    <col min="13" max="13" width="13.421875" style="6" customWidth="1"/>
    <col min="14" max="14" width="12.57421875" style="6" customWidth="1"/>
    <col min="15" max="15" width="13.00390625" style="6" hidden="1" customWidth="1"/>
    <col min="16" max="17" width="13.00390625" style="6" customWidth="1"/>
    <col min="18" max="18" width="13.421875" style="6" customWidth="1"/>
    <col min="19" max="19" width="13.57421875" style="6" customWidth="1"/>
    <col min="20" max="16384" width="9.140625" style="6" customWidth="1"/>
  </cols>
  <sheetData>
    <row r="1" spans="1:16" ht="14.25">
      <c r="A1" s="6"/>
      <c r="C1" s="12"/>
      <c r="D1" s="12"/>
      <c r="E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6" s="15" customFormat="1" ht="18">
      <c r="A2" s="12"/>
      <c r="B2" s="6"/>
      <c r="C2" s="6"/>
      <c r="D2" s="6"/>
      <c r="E2" s="6"/>
      <c r="F2" s="13"/>
    </row>
    <row r="3" spans="2:8" ht="18">
      <c r="B3" s="15"/>
      <c r="C3" s="13" t="s">
        <v>56</v>
      </c>
      <c r="D3" s="12"/>
      <c r="E3" s="12"/>
      <c r="H3" s="12"/>
    </row>
    <row r="4" spans="1:8" ht="18">
      <c r="A4" s="6"/>
      <c r="B4" s="13" t="s">
        <v>44</v>
      </c>
      <c r="C4" s="15"/>
      <c r="D4" s="15"/>
      <c r="E4" s="15"/>
      <c r="F4" s="15"/>
      <c r="G4" s="15"/>
      <c r="H4" s="12"/>
    </row>
    <row r="5" spans="1:16" ht="18">
      <c r="A5" s="12"/>
      <c r="B5" s="23"/>
      <c r="C5" s="13"/>
      <c r="D5" s="15"/>
      <c r="E5" s="15"/>
      <c r="F5" s="15"/>
      <c r="G5" s="15"/>
      <c r="H5" s="12"/>
      <c r="I5" s="12"/>
      <c r="O5" s="18"/>
      <c r="P5" s="18"/>
    </row>
    <row r="6" spans="1:19" ht="87.75" customHeight="1">
      <c r="A6" s="16" t="s">
        <v>5</v>
      </c>
      <c r="B6" s="24" t="s">
        <v>0</v>
      </c>
      <c r="C6" s="2" t="s">
        <v>7</v>
      </c>
      <c r="D6" s="2" t="s">
        <v>36</v>
      </c>
      <c r="E6" s="2" t="s">
        <v>30</v>
      </c>
      <c r="F6" s="2" t="s">
        <v>10</v>
      </c>
      <c r="G6" s="2" t="s">
        <v>29</v>
      </c>
      <c r="H6" s="2" t="s">
        <v>8</v>
      </c>
      <c r="I6" s="2" t="s">
        <v>11</v>
      </c>
      <c r="J6" s="2" t="s">
        <v>13</v>
      </c>
      <c r="K6" s="2" t="s">
        <v>17</v>
      </c>
      <c r="L6" s="2" t="s">
        <v>9</v>
      </c>
      <c r="M6" s="2" t="s">
        <v>40</v>
      </c>
      <c r="N6" s="2" t="s">
        <v>41</v>
      </c>
      <c r="O6" s="2" t="s">
        <v>53</v>
      </c>
      <c r="P6" s="2" t="s">
        <v>54</v>
      </c>
      <c r="Q6" s="2" t="s">
        <v>59</v>
      </c>
      <c r="R6" s="2" t="s">
        <v>55</v>
      </c>
      <c r="S6" s="2" t="s">
        <v>58</v>
      </c>
    </row>
    <row r="7" spans="1:17" s="15" customFormat="1" ht="38.25" customHeight="1" hidden="1">
      <c r="A7" s="2"/>
      <c r="B7" s="24" t="s">
        <v>31</v>
      </c>
      <c r="C7" s="1">
        <v>0</v>
      </c>
      <c r="D7" s="1">
        <v>0</v>
      </c>
      <c r="E7" s="1">
        <v>0</v>
      </c>
      <c r="F7" s="14">
        <v>0</v>
      </c>
      <c r="G7" s="14">
        <v>0</v>
      </c>
      <c r="H7" s="1">
        <v>0</v>
      </c>
      <c r="I7" s="1">
        <v>0</v>
      </c>
      <c r="J7" s="14">
        <f>G7+H7</f>
        <v>0</v>
      </c>
      <c r="K7" s="1">
        <v>0</v>
      </c>
      <c r="L7" s="14">
        <v>0</v>
      </c>
      <c r="M7" s="14">
        <f>J7*$D$46</f>
        <v>0</v>
      </c>
      <c r="N7" s="14">
        <f>K7*$D$48</f>
        <v>0</v>
      </c>
      <c r="O7" s="14">
        <f>M7+N7</f>
        <v>0</v>
      </c>
      <c r="P7" s="14">
        <f>ROUND(O7,2)</f>
        <v>0</v>
      </c>
      <c r="Q7" s="25"/>
    </row>
    <row r="8" spans="1:19" s="15" customFormat="1" ht="27" customHeight="1">
      <c r="A8" s="2">
        <v>1</v>
      </c>
      <c r="B8" s="24" t="s">
        <v>12</v>
      </c>
      <c r="C8" s="1">
        <v>244</v>
      </c>
      <c r="D8" s="1">
        <v>91</v>
      </c>
      <c r="E8" s="1">
        <f>107.5-10-10-10</f>
        <v>77.5</v>
      </c>
      <c r="F8" s="14">
        <f aca="true" t="shared" si="0" ref="F8:F18">E8/D8</f>
        <v>0.8516483516483516</v>
      </c>
      <c r="G8" s="14">
        <f>C8*F8</f>
        <v>207.80219780219778</v>
      </c>
      <c r="H8" s="1">
        <v>60</v>
      </c>
      <c r="I8" s="1">
        <v>0</v>
      </c>
      <c r="J8" s="14">
        <f aca="true" t="shared" si="1" ref="J8:J13">G8+H8+I8</f>
        <v>267.8021978021978</v>
      </c>
      <c r="K8" s="1">
        <f>182.5+2-15-30+15-15</f>
        <v>139.5</v>
      </c>
      <c r="L8" s="14">
        <f aca="true" t="shared" si="2" ref="L8:L31">J8+K8</f>
        <v>407.3021978021978</v>
      </c>
      <c r="M8" s="14">
        <f aca="true" t="shared" si="3" ref="M8:M31">J8*$D$46</f>
        <v>17264.762278979248</v>
      </c>
      <c r="N8" s="14">
        <f aca="true" t="shared" si="4" ref="N8:N31">K8*$D$48</f>
        <v>26983.44292929729</v>
      </c>
      <c r="O8" s="14">
        <f aca="true" t="shared" si="5" ref="O8:O31">M8+N8</f>
        <v>44248.20520827654</v>
      </c>
      <c r="P8" s="14">
        <f aca="true" t="shared" si="6" ref="P8:P31">ROUND(O8,2)</f>
        <v>44248.21</v>
      </c>
      <c r="Q8" s="14">
        <f>P8/3</f>
        <v>14749.403333333334</v>
      </c>
      <c r="R8" s="14">
        <f>P8/3</f>
        <v>14749.403333333334</v>
      </c>
      <c r="S8" s="14">
        <f>P8/3</f>
        <v>14749.403333333334</v>
      </c>
    </row>
    <row r="9" spans="1:19" s="15" customFormat="1" ht="24.75" customHeight="1">
      <c r="A9" s="2">
        <v>2</v>
      </c>
      <c r="B9" s="24" t="s">
        <v>14</v>
      </c>
      <c r="C9" s="1">
        <v>117</v>
      </c>
      <c r="D9" s="1">
        <v>36</v>
      </c>
      <c r="E9" s="1">
        <v>40</v>
      </c>
      <c r="F9" s="14">
        <f t="shared" si="0"/>
        <v>1.1111111111111112</v>
      </c>
      <c r="G9" s="14">
        <f>C9</f>
        <v>117</v>
      </c>
      <c r="H9" s="1">
        <v>40</v>
      </c>
      <c r="I9" s="1">
        <v>0</v>
      </c>
      <c r="J9" s="14">
        <f t="shared" si="1"/>
        <v>157</v>
      </c>
      <c r="K9" s="1">
        <f>63+2+2</f>
        <v>67</v>
      </c>
      <c r="L9" s="14">
        <f t="shared" si="2"/>
        <v>224</v>
      </c>
      <c r="M9" s="14">
        <f t="shared" si="3"/>
        <v>10121.528874836951</v>
      </c>
      <c r="N9" s="14">
        <f t="shared" si="4"/>
        <v>12959.789793999415</v>
      </c>
      <c r="O9" s="14">
        <f t="shared" si="5"/>
        <v>23081.318668836364</v>
      </c>
      <c r="P9" s="14">
        <f t="shared" si="6"/>
        <v>23081.32</v>
      </c>
      <c r="Q9" s="14">
        <f aca="true" t="shared" si="7" ref="Q9:Q31">P9/3</f>
        <v>7693.7733333333335</v>
      </c>
      <c r="R9" s="14">
        <f aca="true" t="shared" si="8" ref="R9:R31">P9/3</f>
        <v>7693.7733333333335</v>
      </c>
      <c r="S9" s="14">
        <f aca="true" t="shared" si="9" ref="S9:S31">P9/3</f>
        <v>7693.7733333333335</v>
      </c>
    </row>
    <row r="10" spans="1:19" s="15" customFormat="1" ht="44.25" customHeight="1">
      <c r="A10" s="2">
        <v>3</v>
      </c>
      <c r="B10" s="24" t="s">
        <v>1</v>
      </c>
      <c r="C10" s="1">
        <v>165</v>
      </c>
      <c r="D10" s="1">
        <v>48</v>
      </c>
      <c r="E10" s="1">
        <v>47.21</v>
      </c>
      <c r="F10" s="14">
        <f t="shared" si="0"/>
        <v>0.9835416666666666</v>
      </c>
      <c r="G10" s="14">
        <f>C10*F10</f>
        <v>162.28437499999998</v>
      </c>
      <c r="H10" s="1">
        <v>60</v>
      </c>
      <c r="I10" s="1">
        <v>16</v>
      </c>
      <c r="J10" s="14">
        <f t="shared" si="1"/>
        <v>238.28437499999998</v>
      </c>
      <c r="K10" s="1">
        <f>91.07+2</f>
        <v>93.07</v>
      </c>
      <c r="L10" s="14">
        <f t="shared" si="2"/>
        <v>331.354375</v>
      </c>
      <c r="M10" s="14">
        <f t="shared" si="3"/>
        <v>15361.797337483924</v>
      </c>
      <c r="N10" s="14">
        <f t="shared" si="4"/>
        <v>18002.50203175411</v>
      </c>
      <c r="O10" s="14">
        <f t="shared" si="5"/>
        <v>33364.29936923803</v>
      </c>
      <c r="P10" s="14">
        <f t="shared" si="6"/>
        <v>33364.3</v>
      </c>
      <c r="Q10" s="14">
        <f t="shared" si="7"/>
        <v>11121.433333333334</v>
      </c>
      <c r="R10" s="14">
        <f t="shared" si="8"/>
        <v>11121.433333333334</v>
      </c>
      <c r="S10" s="14">
        <f t="shared" si="9"/>
        <v>11121.433333333334</v>
      </c>
    </row>
    <row r="11" spans="1:19" s="15" customFormat="1" ht="24.75" customHeight="1">
      <c r="A11" s="2">
        <v>4</v>
      </c>
      <c r="B11" s="24" t="s">
        <v>15</v>
      </c>
      <c r="C11" s="1">
        <v>62</v>
      </c>
      <c r="D11" s="1">
        <v>23</v>
      </c>
      <c r="E11" s="1">
        <v>20</v>
      </c>
      <c r="F11" s="14">
        <f t="shared" si="0"/>
        <v>0.8695652173913043</v>
      </c>
      <c r="G11" s="14">
        <f>C11*F11</f>
        <v>53.91304347826087</v>
      </c>
      <c r="H11" s="1">
        <v>60</v>
      </c>
      <c r="I11" s="1">
        <v>0</v>
      </c>
      <c r="J11" s="14">
        <f t="shared" si="1"/>
        <v>113.91304347826087</v>
      </c>
      <c r="K11" s="1">
        <f>45+2</f>
        <v>47</v>
      </c>
      <c r="L11" s="14">
        <f t="shared" si="2"/>
        <v>160.91304347826087</v>
      </c>
      <c r="M11" s="14">
        <f t="shared" si="3"/>
        <v>7343.784450864806</v>
      </c>
      <c r="N11" s="14">
        <f t="shared" si="4"/>
        <v>9091.19582564138</v>
      </c>
      <c r="O11" s="14">
        <f t="shared" si="5"/>
        <v>16434.980276506187</v>
      </c>
      <c r="P11" s="14">
        <f t="shared" si="6"/>
        <v>16434.98</v>
      </c>
      <c r="Q11" s="14">
        <f t="shared" si="7"/>
        <v>5478.326666666667</v>
      </c>
      <c r="R11" s="14">
        <f t="shared" si="8"/>
        <v>5478.326666666667</v>
      </c>
      <c r="S11" s="14">
        <f t="shared" si="9"/>
        <v>5478.326666666667</v>
      </c>
    </row>
    <row r="12" spans="1:19" s="15" customFormat="1" ht="24.75" customHeight="1">
      <c r="A12" s="2">
        <v>5</v>
      </c>
      <c r="B12" s="32" t="s">
        <v>25</v>
      </c>
      <c r="C12" s="1">
        <v>180</v>
      </c>
      <c r="D12" s="1">
        <v>45</v>
      </c>
      <c r="E12" s="1">
        <f>32.5-5+5</f>
        <v>32.5</v>
      </c>
      <c r="F12" s="14">
        <f t="shared" si="0"/>
        <v>0.7222222222222222</v>
      </c>
      <c r="G12" s="14">
        <f>C12*F12</f>
        <v>130</v>
      </c>
      <c r="H12" s="1">
        <v>60</v>
      </c>
      <c r="I12" s="1">
        <v>0</v>
      </c>
      <c r="J12" s="14">
        <f>G12+H12+I12</f>
        <v>190</v>
      </c>
      <c r="K12" s="1">
        <f>75+2-7.5+7.5</f>
        <v>77</v>
      </c>
      <c r="L12" s="14">
        <f>J12+K12</f>
        <v>267</v>
      </c>
      <c r="M12" s="14">
        <f t="shared" si="3"/>
        <v>12248.983988656184</v>
      </c>
      <c r="N12" s="14">
        <f t="shared" si="4"/>
        <v>14894.08677817843</v>
      </c>
      <c r="O12" s="14">
        <f t="shared" si="5"/>
        <v>27143.070766834615</v>
      </c>
      <c r="P12" s="14">
        <f t="shared" si="6"/>
        <v>27143.07</v>
      </c>
      <c r="Q12" s="14">
        <f t="shared" si="7"/>
        <v>9047.69</v>
      </c>
      <c r="R12" s="14">
        <f t="shared" si="8"/>
        <v>9047.69</v>
      </c>
      <c r="S12" s="14">
        <f t="shared" si="9"/>
        <v>9047.69</v>
      </c>
    </row>
    <row r="13" spans="1:19" s="15" customFormat="1" ht="30.75" customHeight="1">
      <c r="A13" s="2">
        <v>6</v>
      </c>
      <c r="B13" s="24" t="s">
        <v>19</v>
      </c>
      <c r="C13" s="1">
        <v>215</v>
      </c>
      <c r="D13" s="1">
        <v>65</v>
      </c>
      <c r="E13" s="1">
        <v>65</v>
      </c>
      <c r="F13" s="14">
        <f t="shared" si="0"/>
        <v>1</v>
      </c>
      <c r="G13" s="14">
        <f>F13*C13</f>
        <v>215</v>
      </c>
      <c r="H13" s="1">
        <v>60</v>
      </c>
      <c r="I13" s="1">
        <v>0</v>
      </c>
      <c r="J13" s="14">
        <f t="shared" si="1"/>
        <v>275</v>
      </c>
      <c r="K13" s="1">
        <f>122.5+4.3</f>
        <v>126.8</v>
      </c>
      <c r="L13" s="14">
        <f>J13+K13</f>
        <v>401.8</v>
      </c>
      <c r="M13" s="14">
        <f t="shared" si="3"/>
        <v>17728.792615160266</v>
      </c>
      <c r="N13" s="14">
        <f t="shared" si="4"/>
        <v>24526.885759389934</v>
      </c>
      <c r="O13" s="14">
        <f t="shared" si="5"/>
        <v>42255.6783745502</v>
      </c>
      <c r="P13" s="14">
        <f t="shared" si="6"/>
        <v>42255.68</v>
      </c>
      <c r="Q13" s="14">
        <f t="shared" si="7"/>
        <v>14085.226666666667</v>
      </c>
      <c r="R13" s="14">
        <f t="shared" si="8"/>
        <v>14085.226666666667</v>
      </c>
      <c r="S13" s="14">
        <f t="shared" si="9"/>
        <v>14085.226666666667</v>
      </c>
    </row>
    <row r="14" spans="1:19" s="15" customFormat="1" ht="36" customHeight="1">
      <c r="A14" s="2">
        <v>7</v>
      </c>
      <c r="B14" s="24" t="s">
        <v>4</v>
      </c>
      <c r="C14" s="1">
        <v>90</v>
      </c>
      <c r="D14" s="1">
        <v>32</v>
      </c>
      <c r="E14" s="1">
        <f>32.5-5-4.29</f>
        <v>23.21</v>
      </c>
      <c r="F14" s="14">
        <f t="shared" si="0"/>
        <v>0.7253125</v>
      </c>
      <c r="G14" s="14">
        <f>C14*F14</f>
        <v>65.278125</v>
      </c>
      <c r="H14" s="1">
        <v>40</v>
      </c>
      <c r="I14" s="1">
        <v>0</v>
      </c>
      <c r="J14" s="14">
        <f aca="true" t="shared" si="10" ref="J14:J25">G14+H14+I14</f>
        <v>105.278125</v>
      </c>
      <c r="K14" s="1">
        <f>85+5-7.5-6.43</f>
        <v>76.07</v>
      </c>
      <c r="L14" s="14">
        <f t="shared" si="2"/>
        <v>181.34812499999998</v>
      </c>
      <c r="M14" s="14">
        <f t="shared" si="3"/>
        <v>6787.105618319707</v>
      </c>
      <c r="N14" s="14">
        <f t="shared" si="4"/>
        <v>14714.197158649782</v>
      </c>
      <c r="O14" s="14">
        <f t="shared" si="5"/>
        <v>21501.30277696949</v>
      </c>
      <c r="P14" s="14">
        <f t="shared" si="6"/>
        <v>21501.3</v>
      </c>
      <c r="Q14" s="14">
        <f t="shared" si="7"/>
        <v>7167.099999999999</v>
      </c>
      <c r="R14" s="14">
        <f t="shared" si="8"/>
        <v>7167.099999999999</v>
      </c>
      <c r="S14" s="14">
        <f t="shared" si="9"/>
        <v>7167.099999999999</v>
      </c>
    </row>
    <row r="15" spans="1:19" s="15" customFormat="1" ht="24.75" customHeight="1" hidden="1">
      <c r="A15" s="2"/>
      <c r="B15" s="24" t="s">
        <v>37</v>
      </c>
      <c r="C15" s="1">
        <f>89-89</f>
        <v>0</v>
      </c>
      <c r="D15" s="1">
        <f>38-38</f>
        <v>0</v>
      </c>
      <c r="E15" s="1">
        <f>35-35</f>
        <v>0</v>
      </c>
      <c r="F15" s="14">
        <v>0</v>
      </c>
      <c r="G15" s="14">
        <f>F15*C15</f>
        <v>0</v>
      </c>
      <c r="H15" s="1">
        <f>40-40</f>
        <v>0</v>
      </c>
      <c r="I15" s="1">
        <v>0</v>
      </c>
      <c r="J15" s="14">
        <f t="shared" si="10"/>
        <v>0</v>
      </c>
      <c r="K15" s="1">
        <f>60.5+2-62.5</f>
        <v>0</v>
      </c>
      <c r="L15" s="14">
        <f t="shared" si="2"/>
        <v>0</v>
      </c>
      <c r="M15" s="14">
        <f t="shared" si="3"/>
        <v>0</v>
      </c>
      <c r="N15" s="14">
        <f t="shared" si="4"/>
        <v>0</v>
      </c>
      <c r="O15" s="14">
        <f t="shared" si="5"/>
        <v>0</v>
      </c>
      <c r="P15" s="14">
        <f t="shared" si="6"/>
        <v>0</v>
      </c>
      <c r="Q15" s="14">
        <f t="shared" si="7"/>
        <v>0</v>
      </c>
      <c r="R15" s="14">
        <f t="shared" si="8"/>
        <v>0</v>
      </c>
      <c r="S15" s="14">
        <f t="shared" si="9"/>
        <v>0</v>
      </c>
    </row>
    <row r="16" spans="1:19" s="15" customFormat="1" ht="24.75" customHeight="1">
      <c r="A16" s="2">
        <v>8</v>
      </c>
      <c r="B16" s="24" t="s">
        <v>16</v>
      </c>
      <c r="C16" s="1">
        <v>108</v>
      </c>
      <c r="D16" s="1">
        <v>40</v>
      </c>
      <c r="E16" s="1">
        <f>30-10+5-5+5</f>
        <v>25</v>
      </c>
      <c r="F16" s="14">
        <f t="shared" si="0"/>
        <v>0.625</v>
      </c>
      <c r="G16" s="14">
        <f>C16*F16</f>
        <v>67.5</v>
      </c>
      <c r="H16" s="1">
        <v>40</v>
      </c>
      <c r="I16" s="1">
        <v>0</v>
      </c>
      <c r="J16" s="14">
        <f t="shared" si="10"/>
        <v>107.5</v>
      </c>
      <c r="K16" s="1">
        <f>69.5+2-15+5-9-7.5+7.5+2</f>
        <v>54.5</v>
      </c>
      <c r="L16" s="14">
        <f t="shared" si="2"/>
        <v>162</v>
      </c>
      <c r="M16" s="14">
        <f t="shared" si="3"/>
        <v>6930.346204108104</v>
      </c>
      <c r="N16" s="14">
        <f t="shared" si="4"/>
        <v>10541.918563775644</v>
      </c>
      <c r="O16" s="14">
        <f t="shared" si="5"/>
        <v>17472.264767883746</v>
      </c>
      <c r="P16" s="14">
        <f t="shared" si="6"/>
        <v>17472.26</v>
      </c>
      <c r="Q16" s="14">
        <f t="shared" si="7"/>
        <v>5824.086666666666</v>
      </c>
      <c r="R16" s="14">
        <f t="shared" si="8"/>
        <v>5824.086666666666</v>
      </c>
      <c r="S16" s="14">
        <f t="shared" si="9"/>
        <v>5824.086666666666</v>
      </c>
    </row>
    <row r="17" spans="1:19" s="15" customFormat="1" ht="24.75" customHeight="1">
      <c r="A17" s="2">
        <v>9</v>
      </c>
      <c r="B17" s="24" t="s">
        <v>23</v>
      </c>
      <c r="C17" s="1">
        <v>50</v>
      </c>
      <c r="D17" s="1">
        <v>18</v>
      </c>
      <c r="E17" s="1">
        <v>22.5</v>
      </c>
      <c r="F17" s="14">
        <f t="shared" si="0"/>
        <v>1.25</v>
      </c>
      <c r="G17" s="14">
        <f>C17</f>
        <v>50</v>
      </c>
      <c r="H17" s="1">
        <v>60</v>
      </c>
      <c r="I17" s="1">
        <v>0</v>
      </c>
      <c r="J17" s="14">
        <f>G17+H17+I17</f>
        <v>110</v>
      </c>
      <c r="K17" s="1">
        <f>49.29+2</f>
        <v>51.29</v>
      </c>
      <c r="L17" s="14">
        <f>J17+K17</f>
        <v>161.29</v>
      </c>
      <c r="M17" s="14">
        <f t="shared" si="3"/>
        <v>7091.517046064107</v>
      </c>
      <c r="N17" s="14">
        <f t="shared" si="4"/>
        <v>9921.009231854177</v>
      </c>
      <c r="O17" s="14">
        <f t="shared" si="5"/>
        <v>17012.526277918285</v>
      </c>
      <c r="P17" s="14">
        <f t="shared" si="6"/>
        <v>17012.53</v>
      </c>
      <c r="Q17" s="14">
        <f t="shared" si="7"/>
        <v>5670.843333333333</v>
      </c>
      <c r="R17" s="14">
        <f t="shared" si="8"/>
        <v>5670.843333333333</v>
      </c>
      <c r="S17" s="14">
        <f t="shared" si="9"/>
        <v>5670.843333333333</v>
      </c>
    </row>
    <row r="18" spans="1:19" s="15" customFormat="1" ht="30.75" customHeight="1">
      <c r="A18" s="2">
        <v>10</v>
      </c>
      <c r="B18" s="24" t="s">
        <v>22</v>
      </c>
      <c r="C18" s="1">
        <v>80</v>
      </c>
      <c r="D18" s="1">
        <v>22</v>
      </c>
      <c r="E18" s="1">
        <f>22.5-10+8.57</f>
        <v>21.07</v>
      </c>
      <c r="F18" s="14">
        <f t="shared" si="0"/>
        <v>0.9577272727272728</v>
      </c>
      <c r="G18" s="14">
        <f>C18*F18</f>
        <v>76.61818181818182</v>
      </c>
      <c r="H18" s="1">
        <v>60</v>
      </c>
      <c r="I18" s="1">
        <v>0</v>
      </c>
      <c r="J18" s="14">
        <f t="shared" si="10"/>
        <v>136.61818181818182</v>
      </c>
      <c r="K18" s="1">
        <f>50.5+2+2-15+11.25</f>
        <v>50.75</v>
      </c>
      <c r="L18" s="14">
        <f>J18+K18</f>
        <v>187.36818181818182</v>
      </c>
      <c r="M18" s="14">
        <f t="shared" si="3"/>
        <v>8807.546956053835</v>
      </c>
      <c r="N18" s="14">
        <f t="shared" si="4"/>
        <v>9816.557194708512</v>
      </c>
      <c r="O18" s="14">
        <f t="shared" si="5"/>
        <v>18624.104150762345</v>
      </c>
      <c r="P18" s="14">
        <f t="shared" si="6"/>
        <v>18624.1</v>
      </c>
      <c r="Q18" s="14">
        <f t="shared" si="7"/>
        <v>6208.033333333333</v>
      </c>
      <c r="R18" s="14">
        <f t="shared" si="8"/>
        <v>6208.033333333333</v>
      </c>
      <c r="S18" s="14">
        <f t="shared" si="9"/>
        <v>6208.033333333333</v>
      </c>
    </row>
    <row r="19" spans="1:19" s="15" customFormat="1" ht="35.25" customHeight="1">
      <c r="A19" s="2">
        <v>11</v>
      </c>
      <c r="B19" s="24" t="s">
        <v>24</v>
      </c>
      <c r="C19" s="1">
        <v>180</v>
      </c>
      <c r="D19" s="1">
        <v>41</v>
      </c>
      <c r="E19" s="1">
        <v>42</v>
      </c>
      <c r="F19" s="14">
        <f>E19/D19</f>
        <v>1.024390243902439</v>
      </c>
      <c r="G19" s="14">
        <f>C19</f>
        <v>180</v>
      </c>
      <c r="H19" s="1">
        <v>40</v>
      </c>
      <c r="I19" s="1">
        <v>0</v>
      </c>
      <c r="J19" s="14">
        <f>G19+H19+I19</f>
        <v>220</v>
      </c>
      <c r="K19" s="1">
        <f>78.21+2</f>
        <v>80.21</v>
      </c>
      <c r="L19" s="14">
        <f>J19+K19</f>
        <v>300.21</v>
      </c>
      <c r="M19" s="14">
        <f t="shared" si="3"/>
        <v>14183.034092128213</v>
      </c>
      <c r="N19" s="14">
        <f t="shared" si="4"/>
        <v>15514.996110099895</v>
      </c>
      <c r="O19" s="14">
        <f t="shared" si="5"/>
        <v>29698.03020222811</v>
      </c>
      <c r="P19" s="14">
        <f t="shared" si="6"/>
        <v>29698.03</v>
      </c>
      <c r="Q19" s="14">
        <f t="shared" si="7"/>
        <v>9899.343333333332</v>
      </c>
      <c r="R19" s="14">
        <f t="shared" si="8"/>
        <v>9899.343333333332</v>
      </c>
      <c r="S19" s="14">
        <f t="shared" si="9"/>
        <v>9899.343333333332</v>
      </c>
    </row>
    <row r="20" spans="1:19" s="15" customFormat="1" ht="45" customHeight="1">
      <c r="A20" s="2">
        <v>12</v>
      </c>
      <c r="B20" s="24" t="s">
        <v>20</v>
      </c>
      <c r="C20" s="1">
        <v>60</v>
      </c>
      <c r="D20" s="1">
        <v>18</v>
      </c>
      <c r="E20" s="1">
        <f>30-10</f>
        <v>20</v>
      </c>
      <c r="F20" s="14">
        <f aca="true" t="shared" si="11" ref="F20:F31">E20/D20</f>
        <v>1.1111111111111112</v>
      </c>
      <c r="G20" s="14">
        <f>C20</f>
        <v>60</v>
      </c>
      <c r="H20" s="1">
        <v>10</v>
      </c>
      <c r="I20" s="1">
        <v>0</v>
      </c>
      <c r="J20" s="14">
        <f t="shared" si="10"/>
        <v>70</v>
      </c>
      <c r="K20" s="1">
        <f>55+2-10</f>
        <v>47</v>
      </c>
      <c r="L20" s="14">
        <f>J20+K20</f>
        <v>117</v>
      </c>
      <c r="M20" s="14">
        <f t="shared" si="3"/>
        <v>4512.783574768067</v>
      </c>
      <c r="N20" s="14">
        <f t="shared" si="4"/>
        <v>9091.19582564138</v>
      </c>
      <c r="O20" s="14">
        <f t="shared" si="5"/>
        <v>13603.979400409447</v>
      </c>
      <c r="P20" s="14">
        <f t="shared" si="6"/>
        <v>13603.98</v>
      </c>
      <c r="Q20" s="14">
        <f t="shared" si="7"/>
        <v>4534.66</v>
      </c>
      <c r="R20" s="14">
        <f t="shared" si="8"/>
        <v>4534.66</v>
      </c>
      <c r="S20" s="14">
        <f t="shared" si="9"/>
        <v>4534.66</v>
      </c>
    </row>
    <row r="21" spans="1:19" s="15" customFormat="1" ht="29.25" customHeight="1">
      <c r="A21" s="2">
        <v>13</v>
      </c>
      <c r="B21" s="24" t="s">
        <v>27</v>
      </c>
      <c r="C21" s="1">
        <v>205</v>
      </c>
      <c r="D21" s="1">
        <v>70</v>
      </c>
      <c r="E21" s="1">
        <f>210+10</f>
        <v>220</v>
      </c>
      <c r="F21" s="14">
        <f t="shared" si="11"/>
        <v>3.142857142857143</v>
      </c>
      <c r="G21" s="14">
        <f>C21</f>
        <v>205</v>
      </c>
      <c r="H21" s="1">
        <v>40</v>
      </c>
      <c r="I21" s="1">
        <v>0</v>
      </c>
      <c r="J21" s="14">
        <f t="shared" si="10"/>
        <v>245</v>
      </c>
      <c r="K21" s="1">
        <f>253.29+4.29+1.14-5.13+15</f>
        <v>268.59</v>
      </c>
      <c r="L21" s="14">
        <f>J21+K21</f>
        <v>513.5899999999999</v>
      </c>
      <c r="M21" s="14">
        <f t="shared" si="3"/>
        <v>15794.742511688237</v>
      </c>
      <c r="N21" s="14">
        <f t="shared" si="4"/>
        <v>51953.28269806421</v>
      </c>
      <c r="O21" s="14">
        <f t="shared" si="5"/>
        <v>67748.02520975245</v>
      </c>
      <c r="P21" s="14">
        <f t="shared" si="6"/>
        <v>67748.03</v>
      </c>
      <c r="Q21" s="14">
        <f t="shared" si="7"/>
        <v>22582.676666666666</v>
      </c>
      <c r="R21" s="14">
        <f t="shared" si="8"/>
        <v>22582.676666666666</v>
      </c>
      <c r="S21" s="14">
        <f t="shared" si="9"/>
        <v>22582.676666666666</v>
      </c>
    </row>
    <row r="22" spans="1:19" s="15" customFormat="1" ht="24.75" customHeight="1">
      <c r="A22" s="2">
        <v>14</v>
      </c>
      <c r="B22" s="32" t="s">
        <v>2</v>
      </c>
      <c r="C22" s="1">
        <f>190+120</f>
        <v>310</v>
      </c>
      <c r="D22" s="1">
        <f>63+26</f>
        <v>89</v>
      </c>
      <c r="E22" s="1">
        <f>66.5-40.5+40.5</f>
        <v>66.5</v>
      </c>
      <c r="F22" s="14">
        <f t="shared" si="11"/>
        <v>0.7471910112359551</v>
      </c>
      <c r="G22" s="14">
        <f>C22*F22</f>
        <v>231.6292134831461</v>
      </c>
      <c r="H22" s="1">
        <f>60</f>
        <v>60</v>
      </c>
      <c r="I22" s="1">
        <f>40</f>
        <v>40</v>
      </c>
      <c r="J22" s="14">
        <f t="shared" si="10"/>
        <v>331.6292134831461</v>
      </c>
      <c r="K22" s="1">
        <f>120+2.86-11.25-7.5-7.5-7.5-7.5-7.5+48.75</f>
        <v>122.86</v>
      </c>
      <c r="L22" s="14">
        <f t="shared" si="2"/>
        <v>454.4892134831461</v>
      </c>
      <c r="M22" s="14">
        <f t="shared" si="3"/>
        <v>21379.583821714208</v>
      </c>
      <c r="N22" s="14">
        <f t="shared" si="4"/>
        <v>23764.772747623403</v>
      </c>
      <c r="O22" s="14">
        <f t="shared" si="5"/>
        <v>45144.356569337615</v>
      </c>
      <c r="P22" s="14">
        <f t="shared" si="6"/>
        <v>45144.36</v>
      </c>
      <c r="Q22" s="14">
        <f t="shared" si="7"/>
        <v>15048.12</v>
      </c>
      <c r="R22" s="14">
        <f t="shared" si="8"/>
        <v>15048.12</v>
      </c>
      <c r="S22" s="14">
        <f t="shared" si="9"/>
        <v>15048.12</v>
      </c>
    </row>
    <row r="23" spans="1:19" s="15" customFormat="1" ht="24.75" customHeight="1">
      <c r="A23" s="2">
        <v>15</v>
      </c>
      <c r="B23" s="24" t="s">
        <v>34</v>
      </c>
      <c r="C23" s="1">
        <v>190</v>
      </c>
      <c r="D23" s="1">
        <v>54</v>
      </c>
      <c r="E23" s="1">
        <v>50</v>
      </c>
      <c r="F23" s="14">
        <f t="shared" si="11"/>
        <v>0.9259259259259259</v>
      </c>
      <c r="G23" s="14">
        <f>C23*F23</f>
        <v>175.92592592592592</v>
      </c>
      <c r="H23" s="1">
        <v>40</v>
      </c>
      <c r="I23" s="1">
        <v>0</v>
      </c>
      <c r="J23" s="14">
        <f t="shared" si="10"/>
        <v>215.92592592592592</v>
      </c>
      <c r="K23" s="1">
        <f>102.5+2</f>
        <v>104.5</v>
      </c>
      <c r="L23" s="14">
        <f t="shared" si="2"/>
        <v>320.4259259259259</v>
      </c>
      <c r="M23" s="14">
        <f t="shared" si="3"/>
        <v>13920.385312644357</v>
      </c>
      <c r="N23" s="14">
        <f t="shared" si="4"/>
        <v>20213.40348467073</v>
      </c>
      <c r="O23" s="14">
        <f t="shared" si="5"/>
        <v>34133.78879731509</v>
      </c>
      <c r="P23" s="14">
        <f t="shared" si="6"/>
        <v>34133.79</v>
      </c>
      <c r="Q23" s="14">
        <f t="shared" si="7"/>
        <v>11377.93</v>
      </c>
      <c r="R23" s="14">
        <f t="shared" si="8"/>
        <v>11377.93</v>
      </c>
      <c r="S23" s="14">
        <f t="shared" si="9"/>
        <v>11377.93</v>
      </c>
    </row>
    <row r="24" spans="1:19" s="15" customFormat="1" ht="37.5" customHeight="1">
      <c r="A24" s="2">
        <v>16</v>
      </c>
      <c r="B24" s="24" t="s">
        <v>3</v>
      </c>
      <c r="C24" s="1">
        <v>56</v>
      </c>
      <c r="D24" s="1">
        <v>20</v>
      </c>
      <c r="E24" s="1">
        <v>17.5</v>
      </c>
      <c r="F24" s="14">
        <f t="shared" si="11"/>
        <v>0.875</v>
      </c>
      <c r="G24" s="14">
        <f>F24*C24</f>
        <v>49</v>
      </c>
      <c r="H24" s="1">
        <v>40</v>
      </c>
      <c r="I24" s="1">
        <v>0</v>
      </c>
      <c r="J24" s="14">
        <f t="shared" si="10"/>
        <v>89</v>
      </c>
      <c r="K24" s="1">
        <f>42.5+2.86</f>
        <v>45.36</v>
      </c>
      <c r="L24" s="14">
        <f t="shared" si="2"/>
        <v>134.36</v>
      </c>
      <c r="M24" s="14">
        <f t="shared" si="3"/>
        <v>5737.6819736336865</v>
      </c>
      <c r="N24" s="14">
        <f t="shared" si="4"/>
        <v>8773.971120236021</v>
      </c>
      <c r="O24" s="14">
        <f t="shared" si="5"/>
        <v>14511.653093869707</v>
      </c>
      <c r="P24" s="14">
        <f t="shared" si="6"/>
        <v>14511.65</v>
      </c>
      <c r="Q24" s="14">
        <f t="shared" si="7"/>
        <v>4837.216666666666</v>
      </c>
      <c r="R24" s="14">
        <f t="shared" si="8"/>
        <v>4837.216666666666</v>
      </c>
      <c r="S24" s="14">
        <f t="shared" si="9"/>
        <v>4837.216666666666</v>
      </c>
    </row>
    <row r="25" spans="1:19" s="15" customFormat="1" ht="30.75" customHeight="1">
      <c r="A25" s="2">
        <v>17</v>
      </c>
      <c r="B25" s="24" t="s">
        <v>21</v>
      </c>
      <c r="C25" s="1">
        <v>298</v>
      </c>
      <c r="D25" s="1">
        <v>85</v>
      </c>
      <c r="E25" s="1">
        <v>85</v>
      </c>
      <c r="F25" s="14">
        <f t="shared" si="11"/>
        <v>1</v>
      </c>
      <c r="G25" s="14">
        <f>F25*C25</f>
        <v>298</v>
      </c>
      <c r="H25" s="1">
        <f>300-60</f>
        <v>240</v>
      </c>
      <c r="I25" s="1">
        <v>40</v>
      </c>
      <c r="J25" s="14">
        <f t="shared" si="10"/>
        <v>578</v>
      </c>
      <c r="K25" s="1">
        <f>155+2</f>
        <v>157</v>
      </c>
      <c r="L25" s="14">
        <f>J25+K25</f>
        <v>735</v>
      </c>
      <c r="M25" s="14">
        <f t="shared" si="3"/>
        <v>37262.69866022776</v>
      </c>
      <c r="N25" s="14">
        <f t="shared" si="4"/>
        <v>30368.462651610567</v>
      </c>
      <c r="O25" s="14">
        <f t="shared" si="5"/>
        <v>67631.16131183832</v>
      </c>
      <c r="P25" s="14">
        <f t="shared" si="6"/>
        <v>67631.16</v>
      </c>
      <c r="Q25" s="14">
        <f t="shared" si="7"/>
        <v>22543.72</v>
      </c>
      <c r="R25" s="14">
        <f t="shared" si="8"/>
        <v>22543.72</v>
      </c>
      <c r="S25" s="14">
        <f t="shared" si="9"/>
        <v>22543.72</v>
      </c>
    </row>
    <row r="26" spans="1:19" s="15" customFormat="1" ht="24.75" customHeight="1">
      <c r="A26" s="2">
        <v>18</v>
      </c>
      <c r="B26" s="24" t="s">
        <v>26</v>
      </c>
      <c r="C26" s="1">
        <v>120</v>
      </c>
      <c r="D26" s="1">
        <v>28</v>
      </c>
      <c r="E26" s="1">
        <v>42.5</v>
      </c>
      <c r="F26" s="14">
        <f t="shared" si="11"/>
        <v>1.5178571428571428</v>
      </c>
      <c r="G26" s="14">
        <f>C26</f>
        <v>120</v>
      </c>
      <c r="H26" s="1">
        <f>40+20</f>
        <v>60</v>
      </c>
      <c r="I26" s="1">
        <v>0</v>
      </c>
      <c r="J26" s="14">
        <f>G26+H26+I26</f>
        <v>180</v>
      </c>
      <c r="K26" s="1">
        <f>110+4.29</f>
        <v>114.29</v>
      </c>
      <c r="L26" s="14">
        <f>J26+K26</f>
        <v>294.29</v>
      </c>
      <c r="M26" s="14">
        <f t="shared" si="3"/>
        <v>11604.300620832175</v>
      </c>
      <c r="N26" s="14">
        <f t="shared" si="4"/>
        <v>22107.080232181987</v>
      </c>
      <c r="O26" s="14">
        <f t="shared" si="5"/>
        <v>33711.38085301416</v>
      </c>
      <c r="P26" s="14">
        <f t="shared" si="6"/>
        <v>33711.38</v>
      </c>
      <c r="Q26" s="14">
        <f t="shared" si="7"/>
        <v>11237.126666666665</v>
      </c>
      <c r="R26" s="14">
        <f t="shared" si="8"/>
        <v>11237.126666666665</v>
      </c>
      <c r="S26" s="14">
        <f t="shared" si="9"/>
        <v>11237.126666666665</v>
      </c>
    </row>
    <row r="27" spans="1:19" s="15" customFormat="1" ht="24.75" customHeight="1">
      <c r="A27" s="2">
        <v>19</v>
      </c>
      <c r="B27" s="24" t="s">
        <v>28</v>
      </c>
      <c r="C27" s="1">
        <v>75</v>
      </c>
      <c r="D27" s="1">
        <v>24</v>
      </c>
      <c r="E27" s="1">
        <v>21.5</v>
      </c>
      <c r="F27" s="14">
        <f t="shared" si="11"/>
        <v>0.8958333333333334</v>
      </c>
      <c r="G27" s="14">
        <f>C27*F27</f>
        <v>67.1875</v>
      </c>
      <c r="H27" s="1">
        <v>40</v>
      </c>
      <c r="I27" s="1">
        <v>0</v>
      </c>
      <c r="J27" s="14">
        <f>G27+H27+I27</f>
        <v>107.1875</v>
      </c>
      <c r="K27" s="1">
        <f>52.86+2</f>
        <v>54.86</v>
      </c>
      <c r="L27" s="14">
        <f>J27+K27</f>
        <v>162.0475</v>
      </c>
      <c r="M27" s="14">
        <f t="shared" si="3"/>
        <v>6910.199848863604</v>
      </c>
      <c r="N27" s="14">
        <f t="shared" si="4"/>
        <v>10611.553255206087</v>
      </c>
      <c r="O27" s="14">
        <f t="shared" si="5"/>
        <v>17521.753104069692</v>
      </c>
      <c r="P27" s="14">
        <f t="shared" si="6"/>
        <v>17521.75</v>
      </c>
      <c r="Q27" s="14">
        <f t="shared" si="7"/>
        <v>5840.583333333333</v>
      </c>
      <c r="R27" s="14">
        <f t="shared" si="8"/>
        <v>5840.583333333333</v>
      </c>
      <c r="S27" s="14">
        <f t="shared" si="9"/>
        <v>5840.583333333333</v>
      </c>
    </row>
    <row r="28" spans="1:19" s="15" customFormat="1" ht="24.75" customHeight="1">
      <c r="A28" s="2">
        <v>20</v>
      </c>
      <c r="B28" s="24" t="s">
        <v>32</v>
      </c>
      <c r="C28" s="1">
        <v>140</v>
      </c>
      <c r="D28" s="1">
        <v>38</v>
      </c>
      <c r="E28" s="1">
        <v>42.5</v>
      </c>
      <c r="F28" s="14">
        <f t="shared" si="11"/>
        <v>1.118421052631579</v>
      </c>
      <c r="G28" s="14">
        <f>C28</f>
        <v>140</v>
      </c>
      <c r="H28" s="1">
        <v>40</v>
      </c>
      <c r="I28" s="1">
        <v>0</v>
      </c>
      <c r="J28" s="14">
        <f>G28+H28+I28</f>
        <v>180</v>
      </c>
      <c r="K28" s="1">
        <f>80+2</f>
        <v>82</v>
      </c>
      <c r="L28" s="14">
        <f>J28+K28</f>
        <v>262</v>
      </c>
      <c r="M28" s="14">
        <f t="shared" si="3"/>
        <v>11604.300620832175</v>
      </c>
      <c r="N28" s="14">
        <f t="shared" si="4"/>
        <v>15861.23527026794</v>
      </c>
      <c r="O28" s="14">
        <f t="shared" si="5"/>
        <v>27465.535891100117</v>
      </c>
      <c r="P28" s="14">
        <f t="shared" si="6"/>
        <v>27465.54</v>
      </c>
      <c r="Q28" s="14">
        <f t="shared" si="7"/>
        <v>9155.18</v>
      </c>
      <c r="R28" s="14">
        <f t="shared" si="8"/>
        <v>9155.18</v>
      </c>
      <c r="S28" s="14">
        <f t="shared" si="9"/>
        <v>9155.18</v>
      </c>
    </row>
    <row r="29" spans="1:19" s="15" customFormat="1" ht="24.75" customHeight="1">
      <c r="A29" s="2">
        <v>21</v>
      </c>
      <c r="B29" s="24" t="s">
        <v>33</v>
      </c>
      <c r="C29" s="1">
        <v>145</v>
      </c>
      <c r="D29" s="1">
        <v>36</v>
      </c>
      <c r="E29" s="1">
        <v>77.5</v>
      </c>
      <c r="F29" s="14">
        <f>E29/D29</f>
        <v>2.1527777777777777</v>
      </c>
      <c r="G29" s="14">
        <f>C29</f>
        <v>145</v>
      </c>
      <c r="H29" s="1">
        <f>60-20</f>
        <v>40</v>
      </c>
      <c r="I29" s="1">
        <v>0</v>
      </c>
      <c r="J29" s="14">
        <f>I29+H29+G29</f>
        <v>185</v>
      </c>
      <c r="K29" s="1">
        <f>145+2+10</f>
        <v>157</v>
      </c>
      <c r="L29" s="14">
        <f>J29+K29</f>
        <v>342</v>
      </c>
      <c r="M29" s="14">
        <f t="shared" si="3"/>
        <v>11926.642304744179</v>
      </c>
      <c r="N29" s="14">
        <f t="shared" si="4"/>
        <v>30368.462651610567</v>
      </c>
      <c r="O29" s="14">
        <f t="shared" si="5"/>
        <v>42295.10495635474</v>
      </c>
      <c r="P29" s="14">
        <f t="shared" si="6"/>
        <v>42295.1</v>
      </c>
      <c r="Q29" s="14">
        <f t="shared" si="7"/>
        <v>14098.366666666667</v>
      </c>
      <c r="R29" s="14">
        <f t="shared" si="8"/>
        <v>14098.366666666667</v>
      </c>
      <c r="S29" s="14">
        <f t="shared" si="9"/>
        <v>14098.366666666667</v>
      </c>
    </row>
    <row r="30" spans="1:19" s="15" customFormat="1" ht="33.75" customHeight="1">
      <c r="A30" s="2">
        <v>22</v>
      </c>
      <c r="B30" s="24" t="s">
        <v>35</v>
      </c>
      <c r="C30" s="1">
        <v>130</v>
      </c>
      <c r="D30" s="1">
        <v>42</v>
      </c>
      <c r="E30" s="1">
        <v>35</v>
      </c>
      <c r="F30" s="14">
        <f>E30/D30</f>
        <v>0.8333333333333334</v>
      </c>
      <c r="G30" s="14">
        <f>C30*F30</f>
        <v>108.33333333333334</v>
      </c>
      <c r="H30" s="1">
        <v>60</v>
      </c>
      <c r="I30" s="1">
        <v>0</v>
      </c>
      <c r="J30" s="14">
        <f>G30+H30+I30</f>
        <v>168.33333333333334</v>
      </c>
      <c r="K30" s="1">
        <f>80+3.93</f>
        <v>83.93</v>
      </c>
      <c r="L30" s="14">
        <f t="shared" si="2"/>
        <v>252.26333333333335</v>
      </c>
      <c r="M30" s="14">
        <f t="shared" si="3"/>
        <v>10852.170025037496</v>
      </c>
      <c r="N30" s="14">
        <f t="shared" si="4"/>
        <v>16234.55458821449</v>
      </c>
      <c r="O30" s="14">
        <f t="shared" si="5"/>
        <v>27086.724613251987</v>
      </c>
      <c r="P30" s="14">
        <f t="shared" si="6"/>
        <v>27086.72</v>
      </c>
      <c r="Q30" s="14">
        <f t="shared" si="7"/>
        <v>9028.906666666668</v>
      </c>
      <c r="R30" s="14">
        <f t="shared" si="8"/>
        <v>9028.906666666668</v>
      </c>
      <c r="S30" s="14">
        <f t="shared" si="9"/>
        <v>9028.906666666668</v>
      </c>
    </row>
    <row r="31" spans="1:19" s="15" customFormat="1" ht="81.75" customHeight="1">
      <c r="A31" s="2">
        <v>23</v>
      </c>
      <c r="B31" s="24" t="s">
        <v>18</v>
      </c>
      <c r="C31" s="1">
        <v>266</v>
      </c>
      <c r="D31" s="1">
        <v>88</v>
      </c>
      <c r="E31" s="1">
        <f>124.5+10</f>
        <v>134.5</v>
      </c>
      <c r="F31" s="14">
        <f t="shared" si="11"/>
        <v>1.5284090909090908</v>
      </c>
      <c r="G31" s="14">
        <f>C31</f>
        <v>266</v>
      </c>
      <c r="H31" s="1">
        <v>60</v>
      </c>
      <c r="I31" s="1">
        <v>40</v>
      </c>
      <c r="J31" s="14">
        <f>G31+H31+I31</f>
        <v>366</v>
      </c>
      <c r="K31" s="1">
        <f>185+2.86+15+15</f>
        <v>217.86</v>
      </c>
      <c r="L31" s="14">
        <f t="shared" si="2"/>
        <v>583.86</v>
      </c>
      <c r="M31" s="14">
        <f t="shared" si="3"/>
        <v>23595.411262358753</v>
      </c>
      <c r="N31" s="14">
        <f t="shared" si="4"/>
        <v>42140.594097324065</v>
      </c>
      <c r="O31" s="14">
        <f t="shared" si="5"/>
        <v>65736.00535968282</v>
      </c>
      <c r="P31" s="14">
        <f t="shared" si="6"/>
        <v>65736.01</v>
      </c>
      <c r="Q31" s="14">
        <f t="shared" si="7"/>
        <v>21912.00333333333</v>
      </c>
      <c r="R31" s="14">
        <f t="shared" si="8"/>
        <v>21912.00333333333</v>
      </c>
      <c r="S31" s="14">
        <f t="shared" si="9"/>
        <v>21912.00333333333</v>
      </c>
    </row>
    <row r="32" spans="1:19" s="15" customFormat="1" ht="27" customHeight="1">
      <c r="A32" s="2"/>
      <c r="B32" s="24" t="s">
        <v>6</v>
      </c>
      <c r="C32" s="14">
        <f>SUM(C7:C31)</f>
        <v>3486</v>
      </c>
      <c r="D32" s="14">
        <f>SUM(D7:D31)</f>
        <v>1053</v>
      </c>
      <c r="E32" s="14">
        <f>SUM(E7:E31)</f>
        <v>1228.49</v>
      </c>
      <c r="F32" s="14"/>
      <c r="G32" s="14">
        <f>SUM(G7:G31)</f>
        <v>3191.4718958410463</v>
      </c>
      <c r="H32" s="1">
        <f>SUM(H7:H31)</f>
        <v>1310</v>
      </c>
      <c r="I32" s="1">
        <f>SUM(I8:I31)</f>
        <v>136</v>
      </c>
      <c r="J32" s="14">
        <f aca="true" t="shared" si="12" ref="J32:O32">SUM(J7:J31)</f>
        <v>4637.471895841046</v>
      </c>
      <c r="K32" s="14">
        <f t="shared" si="12"/>
        <v>2318.4399999999996</v>
      </c>
      <c r="L32" s="14">
        <f t="shared" si="12"/>
        <v>6955.9118958410445</v>
      </c>
      <c r="M32" s="14">
        <f t="shared" si="12"/>
        <v>298970.10000000003</v>
      </c>
      <c r="N32" s="14">
        <f t="shared" si="12"/>
        <v>448455.15</v>
      </c>
      <c r="O32" s="14">
        <f t="shared" si="12"/>
        <v>747425.25</v>
      </c>
      <c r="P32" s="14">
        <f>SUM(P7:P31)</f>
        <v>747425.25</v>
      </c>
      <c r="Q32" s="14">
        <f>SUM(Q8:Q31)</f>
        <v>249141.75000000006</v>
      </c>
      <c r="R32" s="14">
        <f>SUM(R8:R31)</f>
        <v>249141.75000000006</v>
      </c>
      <c r="S32" s="14">
        <f>SUM(S8:S31)</f>
        <v>249141.75000000006</v>
      </c>
    </row>
    <row r="33" spans="1:16" s="15" customFormat="1" ht="15.75" customHeight="1">
      <c r="A33" s="4"/>
      <c r="D33" s="5"/>
      <c r="E33" s="5"/>
      <c r="F33" s="5"/>
      <c r="G33" s="19"/>
      <c r="H33" s="4"/>
      <c r="I33" s="4"/>
      <c r="J33" s="5"/>
      <c r="K33" s="5"/>
      <c r="L33" s="5"/>
      <c r="M33" s="5"/>
      <c r="N33" s="5"/>
      <c r="O33" s="5"/>
      <c r="P33" s="5"/>
    </row>
    <row r="34" spans="1:16" s="15" customFormat="1" ht="29.25" customHeight="1">
      <c r="A34" s="4"/>
      <c r="B34" s="4" t="s">
        <v>45</v>
      </c>
      <c r="C34" s="3">
        <v>1666000</v>
      </c>
      <c r="D34" s="5"/>
      <c r="E34" s="5"/>
      <c r="F34" s="5"/>
      <c r="G34" s="19"/>
      <c r="H34" s="4"/>
      <c r="I34" s="4"/>
      <c r="J34" s="5"/>
      <c r="K34" s="5"/>
      <c r="L34" s="5"/>
      <c r="M34" s="5"/>
      <c r="N34" s="5"/>
      <c r="O34" s="5"/>
      <c r="P34" s="5"/>
    </row>
    <row r="35" spans="1:16" s="15" customFormat="1" ht="48" customHeight="1">
      <c r="A35" s="4"/>
      <c r="B35" s="17" t="s">
        <v>46</v>
      </c>
      <c r="C35" s="3">
        <v>832750</v>
      </c>
      <c r="D35" s="5"/>
      <c r="E35" s="5"/>
      <c r="F35" s="5"/>
      <c r="G35" s="19"/>
      <c r="H35" s="4"/>
      <c r="I35" s="4"/>
      <c r="J35" s="5"/>
      <c r="K35" s="5"/>
      <c r="L35" s="5"/>
      <c r="M35" s="5"/>
      <c r="N35" s="5"/>
      <c r="O35" s="5"/>
      <c r="P35" s="5"/>
    </row>
    <row r="36" spans="1:16" s="15" customFormat="1" ht="42.75" customHeight="1">
      <c r="A36" s="4"/>
      <c r="B36" s="17" t="s">
        <v>47</v>
      </c>
      <c r="C36" s="31">
        <v>833250</v>
      </c>
      <c r="D36" s="5"/>
      <c r="E36" s="5"/>
      <c r="F36" s="5"/>
      <c r="G36" s="19"/>
      <c r="H36" s="4"/>
      <c r="I36" s="4"/>
      <c r="J36" s="5"/>
      <c r="K36" s="5"/>
      <c r="L36" s="5"/>
      <c r="M36" s="5"/>
      <c r="N36" s="5"/>
      <c r="O36" s="5"/>
      <c r="P36" s="5"/>
    </row>
    <row r="37" spans="1:16" s="15" customFormat="1" ht="18.75" customHeight="1">
      <c r="A37" s="4"/>
      <c r="B37" s="17"/>
      <c r="C37" s="3"/>
      <c r="D37" s="5"/>
      <c r="E37" s="5"/>
      <c r="F37" s="5"/>
      <c r="G37" s="19"/>
      <c r="H37" s="4"/>
      <c r="I37" s="4"/>
      <c r="J37" s="5"/>
      <c r="K37" s="5"/>
      <c r="L37" s="5"/>
      <c r="M37" s="5"/>
      <c r="N37" s="5"/>
      <c r="O37" s="5"/>
      <c r="P37" s="5"/>
    </row>
    <row r="38" spans="1:16" s="15" customFormat="1" ht="45.75" customHeight="1">
      <c r="A38" s="4"/>
      <c r="B38" s="17" t="s">
        <v>50</v>
      </c>
      <c r="C38" s="3">
        <v>833250</v>
      </c>
      <c r="D38" s="5"/>
      <c r="E38" s="5"/>
      <c r="F38" s="5"/>
      <c r="G38" s="19"/>
      <c r="H38" s="4"/>
      <c r="I38" s="4"/>
      <c r="J38" s="5"/>
      <c r="K38" s="5"/>
      <c r="L38" s="5"/>
      <c r="M38" s="5"/>
      <c r="N38" s="5"/>
      <c r="O38" s="5"/>
      <c r="P38" s="5"/>
    </row>
    <row r="39" spans="1:16" s="15" customFormat="1" ht="35.25" customHeight="1">
      <c r="A39" s="4"/>
      <c r="B39" s="17" t="s">
        <v>42</v>
      </c>
      <c r="C39" s="30" t="s">
        <v>43</v>
      </c>
      <c r="D39" s="5"/>
      <c r="E39" s="5"/>
      <c r="F39" s="5"/>
      <c r="G39" s="19"/>
      <c r="H39" s="4"/>
      <c r="I39" s="4"/>
      <c r="J39" s="5"/>
      <c r="K39" s="5"/>
      <c r="L39" s="5"/>
      <c r="M39" s="5"/>
      <c r="N39" s="5"/>
      <c r="O39" s="5"/>
      <c r="P39" s="5"/>
    </row>
    <row r="40" spans="1:16" s="15" customFormat="1" ht="42" customHeight="1">
      <c r="A40" s="4">
        <v>1</v>
      </c>
      <c r="B40" s="17" t="s">
        <v>48</v>
      </c>
      <c r="C40" s="3">
        <f>C38*10.3%</f>
        <v>85824.75</v>
      </c>
      <c r="D40" s="5"/>
      <c r="E40" s="5"/>
      <c r="F40" s="5"/>
      <c r="G40" s="19"/>
      <c r="H40" s="4"/>
      <c r="I40" s="4"/>
      <c r="J40" s="5"/>
      <c r="K40" s="5"/>
      <c r="L40" s="5"/>
      <c r="M40" s="5"/>
      <c r="N40" s="5"/>
      <c r="O40" s="5"/>
      <c r="P40" s="5"/>
    </row>
    <row r="41" spans="1:16" s="15" customFormat="1" ht="42" customHeight="1">
      <c r="A41" s="4">
        <v>2</v>
      </c>
      <c r="B41" s="17" t="s">
        <v>49</v>
      </c>
      <c r="C41" s="3">
        <f>C38-C40</f>
        <v>747425.25</v>
      </c>
      <c r="D41" s="20"/>
      <c r="E41" s="5"/>
      <c r="F41" s="5"/>
      <c r="G41" s="5"/>
      <c r="H41" s="4"/>
      <c r="I41" s="4"/>
      <c r="J41" s="5"/>
      <c r="K41" s="5"/>
      <c r="L41" s="5"/>
      <c r="M41" s="5"/>
      <c r="N41" s="5"/>
      <c r="O41" s="5"/>
      <c r="P41" s="5"/>
    </row>
    <row r="42" spans="1:16" s="15" customFormat="1" ht="18.75" customHeight="1">
      <c r="A42" s="4"/>
      <c r="B42" s="17"/>
      <c r="C42" s="3"/>
      <c r="D42" s="20"/>
      <c r="E42" s="5"/>
      <c r="F42" s="5"/>
      <c r="G42" s="5"/>
      <c r="H42" s="4"/>
      <c r="I42" s="4"/>
      <c r="J42" s="5"/>
      <c r="K42" s="5"/>
      <c r="L42" s="5"/>
      <c r="M42" s="5"/>
      <c r="N42" s="5"/>
      <c r="O42" s="5"/>
      <c r="P42" s="5"/>
    </row>
    <row r="43" spans="1:16" s="15" customFormat="1" ht="29.25" customHeight="1">
      <c r="A43" s="4"/>
      <c r="B43" s="17" t="s">
        <v>57</v>
      </c>
      <c r="C43" s="3">
        <v>747425.25</v>
      </c>
      <c r="D43" s="20"/>
      <c r="E43" s="20"/>
      <c r="F43" s="5"/>
      <c r="G43" s="5"/>
      <c r="H43" s="5"/>
      <c r="I43" s="4"/>
      <c r="J43" s="5"/>
      <c r="K43" s="5"/>
      <c r="L43" s="5"/>
      <c r="M43" s="5"/>
      <c r="N43" s="5"/>
      <c r="O43" s="5"/>
      <c r="P43" s="5"/>
    </row>
    <row r="44" spans="1:16" s="15" customFormat="1" ht="15.75" customHeight="1">
      <c r="A44" s="4"/>
      <c r="B44" s="17"/>
      <c r="C44" s="3"/>
      <c r="D44" s="20"/>
      <c r="E44" s="5"/>
      <c r="F44" s="5"/>
      <c r="G44" s="5"/>
      <c r="H44" s="5"/>
      <c r="I44" s="4"/>
      <c r="J44" s="5"/>
      <c r="K44" s="5"/>
      <c r="L44" s="5"/>
      <c r="M44" s="5"/>
      <c r="N44" s="5"/>
      <c r="O44" s="5"/>
      <c r="P44" s="5"/>
    </row>
    <row r="45" spans="1:5" s="15" customFormat="1" ht="22.5" customHeight="1">
      <c r="A45" s="4"/>
      <c r="B45" s="8" t="s">
        <v>38</v>
      </c>
      <c r="D45" s="3">
        <f>C43*40%</f>
        <v>298970.10000000003</v>
      </c>
      <c r="E45" s="9"/>
    </row>
    <row r="46" spans="1:5" s="15" customFormat="1" ht="24" customHeight="1">
      <c r="A46" s="4"/>
      <c r="B46" s="8" t="s">
        <v>51</v>
      </c>
      <c r="D46" s="10">
        <f>D45/J32</f>
        <v>64.46833678240097</v>
      </c>
      <c r="E46" s="9"/>
    </row>
    <row r="47" spans="1:5" s="15" customFormat="1" ht="21" customHeight="1">
      <c r="A47" s="4"/>
      <c r="B47" s="8" t="s">
        <v>39</v>
      </c>
      <c r="D47" s="3">
        <f>C43*60%</f>
        <v>448455.14999999997</v>
      </c>
      <c r="E47" s="11"/>
    </row>
    <row r="48" spans="1:9" s="15" customFormat="1" ht="18.75" customHeight="1">
      <c r="A48" s="4"/>
      <c r="B48" s="8" t="s">
        <v>52</v>
      </c>
      <c r="D48" s="10">
        <f>D47/K32</f>
        <v>193.4296984179017</v>
      </c>
      <c r="E48" s="25"/>
      <c r="I48" s="25"/>
    </row>
    <row r="49" spans="1:9" s="15" customFormat="1" ht="18.75" customHeight="1">
      <c r="A49" s="4"/>
      <c r="B49" s="8"/>
      <c r="D49" s="10"/>
      <c r="E49" s="25"/>
      <c r="I49" s="25"/>
    </row>
    <row r="50" spans="1:9" s="15" customFormat="1" ht="18.75" customHeight="1">
      <c r="A50" s="4"/>
      <c r="B50" s="8"/>
      <c r="D50" s="10"/>
      <c r="E50" s="25"/>
      <c r="I50" s="25"/>
    </row>
    <row r="51" spans="2:12" s="15" customFormat="1" ht="15.75">
      <c r="B51" s="29"/>
      <c r="C51" s="7"/>
      <c r="E51" s="26"/>
      <c r="F51" s="27"/>
      <c r="G51" s="28"/>
      <c r="H51" s="27"/>
      <c r="L51" s="25"/>
    </row>
    <row r="52" spans="2:12" s="15" customFormat="1" ht="15.75">
      <c r="B52" s="7"/>
      <c r="D52" s="26"/>
      <c r="E52" s="21"/>
      <c r="I52" s="7"/>
      <c r="L52" s="25"/>
    </row>
    <row r="53" spans="2:9" s="15" customFormat="1" ht="15.75">
      <c r="B53" s="7"/>
      <c r="D53" s="21"/>
      <c r="E53" s="21"/>
      <c r="I53" s="21"/>
    </row>
    <row r="54" spans="4:9" s="15" customFormat="1" ht="15.75">
      <c r="D54" s="21"/>
      <c r="E54" s="21"/>
      <c r="I54" s="21"/>
    </row>
    <row r="55" spans="3:9" s="15" customFormat="1" ht="15.75">
      <c r="C55" s="25"/>
      <c r="D55" s="21"/>
      <c r="E55" s="21"/>
      <c r="I55" s="21"/>
    </row>
    <row r="56" s="15" customFormat="1" ht="15.75">
      <c r="D56" s="21"/>
    </row>
  </sheetData>
  <sheetProtection/>
  <printOptions/>
  <pageMargins left="0.001" right="0.001" top="0.001" bottom="0.001" header="0.236220472440945" footer="0.15748031496063"/>
  <pageSetup horizontalDpi="600" verticalDpi="600" orientation="landscape" paperSize="9" scale="64" r:id="rId1"/>
  <headerFooter alignWithMargins="0">
    <oddFooter>&amp;C&amp;P</oddFooter>
  </headerFooter>
  <rowBreaks count="1" manualBreakCount="1">
    <brk id="28" max="18" man="1"/>
  </rowBreaks>
  <ignoredErrors>
    <ignoredError sqref="J29 I32 G30 G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2023-03-31T05:19:35Z</cp:lastPrinted>
  <dcterms:created xsi:type="dcterms:W3CDTF">2008-04-09T11:23:43Z</dcterms:created>
  <dcterms:modified xsi:type="dcterms:W3CDTF">2023-04-04T09:42:11Z</dcterms:modified>
  <cp:category/>
  <cp:version/>
  <cp:contentType/>
  <cp:contentStatus/>
</cp:coreProperties>
</file>